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270" windowWidth="14940" windowHeight="7920" activeTab="1"/>
  </bookViews>
  <sheets>
    <sheet name="Kuljetuspalvelujen rajaus" sheetId="1" r:id="rId1"/>
    <sheet name="Muut" sheetId="2" r:id="rId2"/>
  </sheets>
  <definedNames>
    <definedName name="_xlnm.Print_Titles" localSheetId="1">Muut!$1:$1</definedName>
  </definedNames>
  <calcPr calcId="145621"/>
</workbook>
</file>

<file path=xl/calcChain.xml><?xml version="1.0" encoding="utf-8"?>
<calcChain xmlns="http://schemas.openxmlformats.org/spreadsheetml/2006/main">
  <c r="B69" i="2" l="1"/>
  <c r="B27" i="2" l="1"/>
  <c r="B26" i="2"/>
  <c r="B23" i="2"/>
  <c r="B22" i="2"/>
  <c r="B40" i="2" l="1"/>
  <c r="B39" i="2"/>
  <c r="B15" i="2" l="1"/>
  <c r="B64" i="2" l="1"/>
  <c r="B35" i="2"/>
  <c r="B30" i="2"/>
  <c r="B11" i="2" l="1"/>
  <c r="B59" i="2" l="1"/>
  <c r="B4" i="2" l="1"/>
  <c r="B54" i="2" l="1"/>
  <c r="B28" i="2" l="1"/>
  <c r="B24" i="2"/>
  <c r="B48" i="1"/>
  <c r="C48" i="1"/>
  <c r="B29" i="2" l="1"/>
  <c r="B63" i="2"/>
  <c r="B53" i="2" l="1"/>
  <c r="B55" i="2" s="1"/>
  <c r="B34" i="2" l="1"/>
  <c r="C5" i="1" l="1"/>
  <c r="B5" i="1"/>
  <c r="D6" i="1"/>
  <c r="D48" i="1" s="1"/>
  <c r="C4" i="1"/>
  <c r="D3" i="1"/>
  <c r="B4" i="1"/>
  <c r="B24" i="1" s="1"/>
  <c r="C18" i="1" l="1"/>
  <c r="C28" i="1" s="1"/>
  <c r="C29" i="1" s="1"/>
  <c r="C24" i="1"/>
  <c r="B18" i="1"/>
  <c r="B28" i="1" s="1"/>
  <c r="B29" i="1" s="1"/>
  <c r="B25" i="1"/>
  <c r="B70" i="2"/>
  <c r="B72" i="2" s="1"/>
  <c r="D4" i="1"/>
  <c r="C25" i="1" l="1"/>
  <c r="B20" i="1"/>
  <c r="B36" i="1" s="1"/>
  <c r="B37" i="1" s="1"/>
  <c r="B19" i="1"/>
  <c r="B32" i="1" s="1"/>
  <c r="C19" i="1"/>
  <c r="C32" i="1" s="1"/>
  <c r="C20" i="1"/>
  <c r="C36" i="1" s="1"/>
  <c r="C37" i="1" s="1"/>
  <c r="D18" i="1"/>
  <c r="D28" i="1" s="1"/>
  <c r="D29" i="1" s="1"/>
  <c r="D24" i="1"/>
  <c r="C33" i="1" l="1"/>
  <c r="C49" i="1"/>
  <c r="C50" i="1" s="1"/>
  <c r="B33" i="1"/>
  <c r="B39" i="1" s="1"/>
  <c r="B40" i="1" s="1"/>
  <c r="B49" i="1"/>
  <c r="B50" i="1" s="1"/>
  <c r="D20" i="1"/>
  <c r="D36" i="1" s="1"/>
  <c r="D37" i="1" s="1"/>
  <c r="D25" i="1"/>
  <c r="D19" i="1"/>
  <c r="D32" i="1" s="1"/>
  <c r="D33" i="1" s="1"/>
  <c r="D39" i="1" s="1"/>
  <c r="D40" i="1" s="1"/>
  <c r="C39" i="1"/>
  <c r="C40" i="1" s="1"/>
  <c r="D49" i="1" l="1"/>
  <c r="D50" i="1" s="1"/>
</calcChain>
</file>

<file path=xl/sharedStrings.xml><?xml version="1.0" encoding="utf-8"?>
<sst xmlns="http://schemas.openxmlformats.org/spreadsheetml/2006/main" count="131" uniqueCount="100">
  <si>
    <t/>
  </si>
  <si>
    <t>2013</t>
  </si>
  <si>
    <t>2014</t>
  </si>
  <si>
    <t>Vaikeavammaisten kuljetuspalvelujen saajia vuoden aikana yhteensä</t>
  </si>
  <si>
    <t>VPL-matkan keskimääräinen hinta</t>
  </si>
  <si>
    <t>SHL-matkan keskimääräinen hinta</t>
  </si>
  <si>
    <t>VPL-matkoja 75+ asiakkailla yhteensä</t>
  </si>
  <si>
    <t>Yhteissumma (kerrottuna matkan hinnalla, miljoona euroa)</t>
  </si>
  <si>
    <t>75 v. täyttäneiden VPL-matkojen määrä kuukaudessa keskimäärin</t>
  </si>
  <si>
    <t>Vaikeavammaisten kuljetuspalveluissa 65 vuotta täyttäneitä asiakkaita vuoden aikana</t>
  </si>
  <si>
    <t>Kuljetuspalvelujen osuus vammaispalvelulain mukaisten palvelujen ja taloudellisten tukitoimien kustannuksista, euroa</t>
  </si>
  <si>
    <t>65+ asiakasmäärien muutos edelliseen vuoteen verrattuna, % (VPL-kuljetuspalvelut)</t>
  </si>
  <si>
    <t>SHL-matkojen määrä kuukaudessa keskimäärin</t>
  </si>
  <si>
    <t>75 v. %-osuus 65 v. täyttäneistä asiakkaista (VPLn kuljetuspalveluissa)</t>
  </si>
  <si>
    <t>Nykyiset VPL-matkojen kustannukset 75 vuotta täyttäneillä:</t>
  </si>
  <si>
    <t>Yhteensä uudet matkakustannukset</t>
  </si>
  <si>
    <t>Muilla 75 v. jälkeen vammautuneilla tulisi SHLn mukaan</t>
  </si>
  <si>
    <t>Matkoja näillä asiakkailla yhteensä</t>
  </si>
  <si>
    <t>Matkoja näillä asiakkailla yhteensä (oletus: 70 % ennen VPL-matkoja saaneista saisi SHLn mukaan)</t>
  </si>
  <si>
    <t>Päätösten pysyvyys</t>
  </si>
  <si>
    <t>Vammaisten liikkumistaidon ohjaus</t>
  </si>
  <si>
    <t>Laskelma</t>
  </si>
  <si>
    <t>1000 käyttäjää * 5 % vuosikustannuksista (40 tuntia/vko työnantajamallilla)</t>
  </si>
  <si>
    <t>Milj. euroa</t>
  </si>
  <si>
    <t>Arviot</t>
  </si>
  <si>
    <t>Yhteensä</t>
  </si>
  <si>
    <t>Säästöt yhteensä:</t>
  </si>
  <si>
    <t>Kuljetuspalvelujen rajaus</t>
  </si>
  <si>
    <t>Muut yhteensä</t>
  </si>
  <si>
    <t>2000 käyttäjää * (puolet keskimääräisestä kuljetuspalvelujen käytöstä (6,4 -&gt; 3,2 matkaa/kk VPL-matkan keskihinnalla))</t>
  </si>
  <si>
    <t>Muut oletukset</t>
  </si>
  <si>
    <r>
      <t xml:space="preserve">* Jos </t>
    </r>
    <r>
      <rPr>
        <u/>
        <sz val="10"/>
        <rFont val="Arial"/>
        <family val="2"/>
      </rPr>
      <t>kaikille</t>
    </r>
    <r>
      <rPr>
        <sz val="10"/>
        <rFont val="Arial"/>
        <family val="2"/>
      </rPr>
      <t xml:space="preserve"> alle 3 matkaa käyttäneille lasketaan 3 matkaa, uusi keskiarvo olisi 3,2. Sillä laskettuna säästösumma ei kuitenkaan muutuisi juurikaan, vaan olisi edelleen noin 14 miljoonaa euroa.</t>
    </r>
  </si>
  <si>
    <t>Matkojen määrän muutos, % (vaikuttaa yhdistelyjen säästöpotentiaaliin)</t>
  </si>
  <si>
    <t>VPL-matkoja yhteensä (kaikenikäisillä)</t>
  </si>
  <si>
    <t>Vähennys kaikista VPL-matkoista, %</t>
  </si>
  <si>
    <t>75 vuotta täyttäneiden matkan väheneminen, lkm</t>
  </si>
  <si>
    <t>Säästö</t>
  </si>
  <si>
    <t>Lisäkustannus</t>
  </si>
  <si>
    <t>Koulutus: 5 tuntia / asiakas, puolet siitä lähihoitajien kouluttamaa: 2000 asiakasta * 2,5 tuntia * lähihoitajan tuntipalkka (25,8 euroa)</t>
  </si>
  <si>
    <t>Kokonaissäästö</t>
  </si>
  <si>
    <t>Palvelusuunnitelma ja päätös samanaikaisesti</t>
  </si>
  <si>
    <t>Vammaispalvelut: kolmasosa kuljetuspalvelujen asiakkaista/v. * lääkärintodistuksen kustannus (terveyskeskuslääkärin tuntipalkka (63,3 euroa)*20 min.)</t>
  </si>
  <si>
    <t>4. luokka hoitotukeen nykyisen ylläpitokorvauksen tilalle</t>
  </si>
  <si>
    <t>Lääkärintodistusten vähentäminen</t>
  </si>
  <si>
    <t>Lisätietoja</t>
  </si>
  <si>
    <t>Tietoa päätösten määristä ei ole, joten kohdejoukon suuruus ja säästyvän työajan kesto perustuvat asiantuntija-arvioon. Arviossa on otettu huomioon päätösten väheneminen, joka johtuu toisesta ehdotetusta toimenpiteestä (päätösten pysyvyys).</t>
  </si>
  <si>
    <t>Säästö hallinnollisissa kuluissa: kuljetuspalvelujen hallinnointi (15 min./kk)*1000 käyttäjää*toimistotyöntekijän tuntipalkka (23,1 euroa)</t>
  </si>
  <si>
    <t>Säästö hallinnollisissa kuluissa: hallinnointi (30 min./kk)*1000 käyttäjää*toimistotyöntekijän tuntipalkka (23,1 euroa)</t>
  </si>
  <si>
    <t>Säästö nykyiseen verrattuna</t>
  </si>
  <si>
    <t>Säästö hallinnollisissa kuluissa: hallinnointi (30 min./kk)*työntekijöiden määrä (5*50)*toimistotyöntekijän tuntipalkka (23,1 euroa)</t>
  </si>
  <si>
    <t>Kaikki yhteensä</t>
  </si>
  <si>
    <t>Invalidivähennys</t>
  </si>
  <si>
    <t>Kuusikon raporteista saadut tiedot (Osa tiedoista on vakiinnutettu v. 2013-2014 tasolle, koska v. 2015 tiedot erosivat aiemmista vuosista paljon.)</t>
  </si>
  <si>
    <t>Mustalla olevien tilastotietojen lähde: THL, Tilasto- ja indikaattoripankki Sotkanet.fi</t>
  </si>
  <si>
    <t>75+ (laskettu Kuusikon osuudella)</t>
  </si>
  <si>
    <r>
      <t xml:space="preserve">Ennen 75 vuotta vammautuneiden määrä (oletus: 64 % </t>
    </r>
    <r>
      <rPr>
        <vertAlign val="superscript"/>
        <sz val="10"/>
        <color rgb="FF0070C0"/>
        <rFont val="Arial"/>
        <family val="2"/>
      </rPr>
      <t>1)</t>
    </r>
    <r>
      <rPr>
        <sz val="10"/>
        <color rgb="FF0070C0"/>
        <rFont val="Arial"/>
        <family val="2"/>
      </rPr>
      <t>)</t>
    </r>
  </si>
  <si>
    <r>
      <t>75 vuoden jälkeen vammautuneista vaikeavammaisia (oletus: 60 %</t>
    </r>
    <r>
      <rPr>
        <vertAlign val="superscript"/>
        <sz val="10"/>
        <color rgb="FF0070C0"/>
        <rFont val="Arial"/>
        <family val="2"/>
      </rPr>
      <t>2)</t>
    </r>
    <r>
      <rPr>
        <sz val="10"/>
        <color rgb="FF0070C0"/>
        <rFont val="Arial"/>
        <family val="2"/>
      </rPr>
      <t>)</t>
    </r>
  </si>
  <si>
    <r>
      <t>75 vuoden jälkeen vammautuneista ei-vaikeavammaisia (oletus: 40 %</t>
    </r>
    <r>
      <rPr>
        <vertAlign val="superscript"/>
        <sz val="10"/>
        <color rgb="FF0070C0"/>
        <rFont val="Arial"/>
        <family val="2"/>
      </rPr>
      <t>2)</t>
    </r>
    <r>
      <rPr>
        <sz val="10"/>
        <color rgb="FF0070C0"/>
        <rFont val="Arial"/>
        <family val="2"/>
      </rPr>
      <t>)</t>
    </r>
  </si>
  <si>
    <r>
      <rPr>
        <vertAlign val="superscript"/>
        <sz val="10"/>
        <rFont val="Arial"/>
        <family val="2"/>
      </rPr>
      <t>1)</t>
    </r>
    <r>
      <rPr>
        <sz val="10"/>
        <rFont val="Arial"/>
        <family val="2"/>
      </rPr>
      <t xml:space="preserve"> Perustuu Kelan hoitotuen saajista tehdystä analyysista (kuinka suuri osa on saanut hoitotuen ennen 75 v.)</t>
    </r>
  </si>
  <si>
    <r>
      <rPr>
        <vertAlign val="superscript"/>
        <sz val="10"/>
        <rFont val="Arial"/>
        <family val="2"/>
      </rPr>
      <t>2)</t>
    </r>
    <r>
      <rPr>
        <sz val="10"/>
        <rFont val="Arial"/>
        <family val="2"/>
      </rPr>
      <t xml:space="preserve"> Perustuu v. 2015 uusista Kelan hoitotuen saajista tehdystä analyysista</t>
    </r>
  </si>
  <si>
    <r>
      <rPr>
        <vertAlign val="superscript"/>
        <sz val="10"/>
        <rFont val="Arial"/>
        <family val="2"/>
      </rPr>
      <t>3)</t>
    </r>
    <r>
      <rPr>
        <sz val="10"/>
        <rFont val="Arial"/>
        <family val="2"/>
      </rPr>
      <t xml:space="preserve"> Keskiarvon nosto perustuu Espoon aineistosta (lokakuulta 2015) tehtyyn laskelmaan.</t>
    </r>
  </si>
  <si>
    <t>- päätösten pysyvyys vähentää päätösten määrää, joka vaikuttaa palvelu- ja hoitosuunnitelmien yhdistämisen säästöihin</t>
  </si>
  <si>
    <t>Kelan kuntoutuspäätökset</t>
  </si>
  <si>
    <t>Sairaalan säästö koostuu työntekijöiden (5 hoitajaa / potilas) palkka- ym. henkilöstöhallinnon vähenemisestä.</t>
  </si>
  <si>
    <t>Kohdejoukon suuruus perustuu asiantuntija-arvioon. Kohdejoukkona ovat lähinnä nuoret vammaiset henkilöt.Osa tarvitsee ammattihenkilön antamaa koulutusta, osalle koulutuksen voi antaa toinen vammainen henkilö.</t>
  </si>
  <si>
    <t>2000 käyttäjää * 5 % vuosikustannuksista (12 matkaa/kk VPL-matkan keskihinnalla)</t>
  </si>
  <si>
    <t>Säästö hallinnollisissa kuluissa: hallinnointi (30 min./kk)*2000 käyttäjää*toimistotyöntekijän tuntipalkka (23,1 euroa)</t>
  </si>
  <si>
    <t>Paljon kuljetuspalveluja käyttävien siirtyminen leasing-autoon (800 asiakasta):</t>
  </si>
  <si>
    <t>Vaihtoehtoiset kuljetuspalvelujen kustannukset: 800 käyttäjää*matkojen määrä/v. (oletus: täydet vapaa-ajan matkat (18/kk)+työmatkat (42/kk) * VLP-matkan hinta (29 euroa)</t>
  </si>
  <si>
    <t>Aiemmin muilla tavoin auton hankkineiden siirtyminen leasing-autoon (200 käyttäjää)</t>
  </si>
  <si>
    <t>Leasing-kustannukset: 200 käyttäjää * leasing-auto 850 euroa/kk</t>
  </si>
  <si>
    <t>Muut auton hankkimistuet: verotuki noin 4 000 euroa joka 3. vuosi sekä hankintatuki keskimäärin 3 163 euroa / auton hankinta (5-7 v. välein): yhteensä keskimäärin 1 861 euroa vuodessa*200 käyttäjää</t>
  </si>
  <si>
    <t>Leasing-kustannukset: 800 käyttäjää * leasing-auto 850 euroa/kk 
+ hieman kuljetuspalveluja: 800 käyttäjää* 6 matkaa/kk * VPL-matkan hinta (29 euroa)</t>
  </si>
  <si>
    <t>- kuljetuspalvelujen rajaus, vammaisten liikkumistaidon opetus ja henkilökohtainen budjetti liikkumisen tukeen vähentävät matkoja, mikä vähentää matkojen yhdistämisen säästöpotentiaalia</t>
  </si>
  <si>
    <t>Laskelmissa on otettu huomioon toimenpiteiden vaikutus toistensa säästöpotentiaaliin:</t>
  </si>
  <si>
    <r>
      <t xml:space="preserve">Kohderyhmänä ovat töissä käyvät tai opiskelijat (=4 % kuljetuspalvelujen saajista eli noin 4 000).                                                                 Leasing-auton saajilta ei voida ottaa kokonaan pois oikeutta kuljetuspalveluihin. 
Muutostöistä ja leasing-autojen kilpailutuksesta tulee jonkin verran lisäkustannuksia (esim. Hansel laskuttaa kilpailutuskuluina noin prosentin), mutta toisaalta laaja kilpailutus todennäköisesti laskisi hintoja. </t>
    </r>
    <r>
      <rPr>
        <sz val="11"/>
        <color rgb="FFFF0000"/>
        <rFont val="Calibri"/>
        <family val="2"/>
        <scheme val="minor"/>
      </rPr>
      <t xml:space="preserve">
</t>
    </r>
    <r>
      <rPr>
        <sz val="11"/>
        <rFont val="Calibri"/>
        <family val="2"/>
        <scheme val="minor"/>
      </rPr>
      <t xml:space="preserve">
</t>
    </r>
  </si>
  <si>
    <t>Avustajien kustannukset (5000 asiakasta*4 asiointimatkaa*3 tuntia*työnantajamallin tuntikustannus (20 euroa))- takseille maksettava lisähinta (5000 asiakasta*4 asiointimatkaa*takseille maksettava lisähinta (20 euroa))</t>
  </si>
  <si>
    <t xml:space="preserve">Kohderyhmänä ovat henkilöt, joiden kuljetuspalvelujen kustannukset ovat vähintään 2000 euroa vuodessa. Näin ollen kohderyhmänä ovat henkilöt, jotka käyttävät 6-18 matkaa kuukaudessa (laskenta tehty keskiarvolla 12 matkaa kuukaudessa). </t>
  </si>
  <si>
    <t>Viidesosa VPL-kuljetuspalvelujen, henkilökohtaisen avun ja asumispalvelujen asiakkaista * 20 min. * sosiaalityöntekijän tuntipalkka (31,5 euroa)</t>
  </si>
  <si>
    <t>Kuljetuspalveluiden järjestämisen uudistaminen (VPL-, SHL- ja Kela-matkojen yhdistäminen)</t>
  </si>
  <si>
    <t>Asumispalveluyksiköiden raportoinnin keventäminen</t>
  </si>
  <si>
    <t>Kuljetuspalveluihin liittyvä asiointiapu</t>
  </si>
  <si>
    <t>Kuljetuspalvelun vaihtaminen leasing-autoksi</t>
  </si>
  <si>
    <t>75 v. jälkeen vammautuneille vaikeavammaisille tulisi SHL-matkoihin tietty vähimmäismäärä</t>
  </si>
  <si>
    <t>Iäkkäiden henkilöiden kuljetuspalveluja koskevat taustatiedot ja säästölaskelmat</t>
  </si>
  <si>
    <t>ennen 75 v. vammautuneilla säilyisivät VPL-matkat</t>
  </si>
  <si>
    <t>Selvityshenkilön arvio</t>
  </si>
  <si>
    <t xml:space="preserve">Tietoa VPL-päätösten määristä ei ole, joten kohdejoukon suuruus ja säästyvän työajan kesto perustuvat asiantuntija-arvioon. 
</t>
  </si>
  <si>
    <t>Muut ehdotukset ja säästöjen laskenta</t>
  </si>
  <si>
    <t>Hengityslaitepotilaiden hoito henkilökohtaisella avulla</t>
  </si>
  <si>
    <t>Kohdejoukoksi on asiantuntija-arvion perusteella oletettu noin puolet hengityslaitepotilaista.</t>
  </si>
  <si>
    <t>HA-kukkaro eli henkilökohtainen budjetti henkilökohtaiseen apuun</t>
  </si>
  <si>
    <t>Matkakukkaro eli henkilökohtainen budjetti liikkumisen tukeen</t>
  </si>
  <si>
    <t>- leasing-auto (800 käyttäjää) ja henkilökohtainen budjetti liikkumisen tukeen (2000 käyttäjää) kohdistuvat osin samaan kohderyhmään</t>
  </si>
  <si>
    <t>Avustajien muutos sairaanhoitajista työnantajamallin avustajiksi: noin puolet hengityslaiteasiakkaista (50) * avustajien työtunnit/kk (160) * avustajien määrä (5) * kuukaudet (12) * palkkaero (5 sairaanhoitajaa vs. 5 työnantajamallin avustajaa)</t>
  </si>
  <si>
    <t>Taksiliiton laskelma (erillinen excel-taulukko), johon on lisätty SHL-matkat ja vähennetty selvitysmiehen ehdotusten myötä vähenevät VPL-matkat. Taksiliiton laskelmassa oli arvioitu kutsuliikenteen käytölle (VPL-matkojen sijaan) 1 miljoonan säästöpotentiaali. Siitä on laskelmaan otettu vain osa (80 %), koska osa säästöpotentiaalista on päällekkäistä liikkumistaidon opetuksen tuoman säästöpotentiaalin kanssa.</t>
  </si>
  <si>
    <t xml:space="preserve">                                                                              </t>
  </si>
  <si>
    <r>
      <t>Uusi SHL-matkojen keskiarvo</t>
    </r>
    <r>
      <rPr>
        <vertAlign val="superscript"/>
        <sz val="10"/>
        <color rgb="FF0070C0"/>
        <rFont val="Arial"/>
        <family val="2"/>
      </rPr>
      <t>3)</t>
    </r>
    <r>
      <rPr>
        <sz val="10"/>
        <color rgb="FF0070C0"/>
        <rFont val="Arial"/>
        <family val="2"/>
      </rPr>
      <t>, kun vaikeavammaisilla on vähimmäismäärä 3 matkaa/kk*</t>
    </r>
  </si>
  <si>
    <t>Arvio perustuu seuraaviin tietoihin: V. 2015 aikana Kelan vaikeavammaisten lääkinnällistä kuntoutusta sai 25 300 henkilöä  ja Kela teki yht. 77 900 vaikeavammaisten lääkinnällisen kuntoutuksen päätöstä. V. 2016 vaativaa lääkinnällistä kuntoutusta saavien henkilöiden määrä on kasvanut keskimäärin 9 % edellisestä vuodesta, minkä perusteella saajien määrän voidaan arvioida kasvavan  yht. 27 500 kuntoutujaan v. 2016. Kuntoutuksen saajia on ollut vuonna 2016 keskimäärin 18 000, joten melko  iso osa saajista on jatkuvia tai toistuvia kuntoutuksen saajia. Tämän perusteella selvityshenkilö arvio, että vaativan  lääkinnällisen kuntoutuksen päätöksiin vaadittavien lääkärintodistusten määrä vähenisi 15 000 lääkärintodistuksella ja päätösten määrä 10 000 päätöksellä.</t>
  </si>
  <si>
    <t>Ks. kohta lisätietoja ehdotuksessa lääkärintodistusten vähentämisestä.</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</si>
</sst>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22">
    <font>
      <sz val="10"/>
      <name val="Arial"/>
    </font>
    <font>
      <sz val="10"/>
      <name val="Arial"/>
      <family val="2"/>
    </font>
    <font>
      <b/>
      <sz val="10"/>
      <name val="Arial"/>
      <family val="2"/>
    </font>
    <font>
      <sz val="10"/>
      <color rgb="FFFF0000"/>
      <name val="Arial"/>
      <family val="2"/>
    </font>
    <font>
      <b/>
      <sz val="10"/>
      <color rgb="FFFF0000"/>
      <name val="Arial"/>
      <family val="2"/>
    </font>
    <font>
      <sz val="10"/>
      <color rgb="FF0070C0"/>
      <name val="Arial"/>
      <family val="2"/>
    </font>
    <font>
      <b/>
      <sz val="10"/>
      <color rgb="FF0070C0"/>
      <name val="Arial"/>
      <family val="2"/>
    </font>
    <font>
      <sz val="11"/>
      <name val="Calibri"/>
      <family val="2"/>
      <scheme val="minor"/>
    </font>
    <font>
      <b/>
      <sz val="11"/>
      <name val="Calibri"/>
      <family val="2"/>
      <scheme val="minor"/>
    </font>
    <font>
      <sz val="11"/>
      <color rgb="FFFF0000"/>
      <name val="Calibri"/>
      <family val="2"/>
      <scheme val="minor"/>
    </font>
    <font>
      <sz val="11"/>
      <color theme="3" tint="-0.249977111117893"/>
      <name val="Calibri"/>
      <family val="2"/>
      <scheme val="minor"/>
    </font>
    <font>
      <sz val="11"/>
      <color theme="1"/>
      <name val="Calibri"/>
      <family val="2"/>
      <scheme val="minor"/>
    </font>
    <font>
      <u/>
      <sz val="10"/>
      <name val="Arial"/>
      <family val="2"/>
    </font>
    <font>
      <sz val="10"/>
      <color theme="6" tint="-0.499984740745262"/>
      <name val="Arial"/>
      <family val="2"/>
    </font>
    <font>
      <u/>
      <sz val="11"/>
      <color rgb="FFFF0000"/>
      <name val="Calibri"/>
      <family val="2"/>
      <scheme val="minor"/>
    </font>
    <font>
      <b/>
      <sz val="11"/>
      <color rgb="FFFF0000"/>
      <name val="Calibri"/>
      <family val="2"/>
      <scheme val="minor"/>
    </font>
    <font>
      <b/>
      <u/>
      <sz val="10"/>
      <color rgb="FFFF0000"/>
      <name val="Arial"/>
      <family val="2"/>
    </font>
    <font>
      <u/>
      <sz val="10"/>
      <color rgb="FFFF0000"/>
      <name val="Arial"/>
      <family val="2"/>
    </font>
    <font>
      <b/>
      <sz val="10"/>
      <color theme="6" tint="-0.499984740745262"/>
      <name val="Arial"/>
      <family val="2"/>
    </font>
    <font>
      <sz val="10"/>
      <color theme="9" tint="-0.249977111117893"/>
      <name val="Arial"/>
      <family val="2"/>
    </font>
    <font>
      <vertAlign val="superscript"/>
      <sz val="10"/>
      <color rgb="FF0070C0"/>
      <name val="Arial"/>
      <family val="2"/>
    </font>
    <font>
      <vertAlign val="superscript"/>
      <sz val="10"/>
      <name val="Arial"/>
      <family val="2"/>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1">
    <border>
      <left/>
      <right/>
      <top/>
      <bottom/>
      <diagonal/>
    </border>
  </borders>
  <cellStyleXfs count="1">
    <xf numFmtId="0" fontId="0" fillId="0" borderId="0" applyNumberFormat="0" applyFont="0" applyFill="0" applyBorder="0" applyAlignment="0" applyProtection="0"/>
  </cellStyleXfs>
  <cellXfs count="83">
    <xf numFmtId="0" fontId="0" fillId="0" borderId="0" xfId="0" applyNumberFormat="1" applyFont="1" applyFill="1" applyBorder="1" applyAlignment="1"/>
    <xf numFmtId="0" fontId="0" fillId="2" borderId="0" xfId="0" applyNumberFormat="1" applyFont="1" applyFill="1" applyBorder="1" applyAlignment="1"/>
    <xf numFmtId="0" fontId="0" fillId="2" borderId="0" xfId="0" applyNumberFormat="1" applyFont="1" applyFill="1" applyBorder="1" applyAlignment="1">
      <alignment horizontal="right"/>
    </xf>
    <xf numFmtId="0" fontId="0" fillId="2" borderId="0" xfId="0" applyFill="1"/>
    <xf numFmtId="3" fontId="0" fillId="2" borderId="0" xfId="0" applyNumberFormat="1" applyFont="1" applyFill="1" applyBorder="1" applyAlignment="1"/>
    <xf numFmtId="3" fontId="3" fillId="2" borderId="0" xfId="0" applyNumberFormat="1" applyFont="1" applyFill="1" applyBorder="1" applyAlignment="1"/>
    <xf numFmtId="0" fontId="3" fillId="2" borderId="0" xfId="0" applyNumberFormat="1" applyFont="1" applyFill="1" applyBorder="1" applyAlignment="1"/>
    <xf numFmtId="165" fontId="0" fillId="2" borderId="0" xfId="0" applyNumberFormat="1" applyFont="1" applyFill="1" applyBorder="1" applyAlignment="1"/>
    <xf numFmtId="164" fontId="3" fillId="2" borderId="0" xfId="0" applyNumberFormat="1" applyFont="1" applyFill="1" applyBorder="1" applyAlignment="1"/>
    <xf numFmtId="0" fontId="6" fillId="2" borderId="0" xfId="0" applyNumberFormat="1" applyFont="1" applyFill="1" applyBorder="1" applyAlignment="1"/>
    <xf numFmtId="0" fontId="5" fillId="2" borderId="0" xfId="0" applyNumberFormat="1" applyFont="1" applyFill="1" applyBorder="1" applyAlignment="1"/>
    <xf numFmtId="3" fontId="5" fillId="2" borderId="0" xfId="0" applyNumberFormat="1" applyFont="1" applyFill="1" applyBorder="1" applyAlignment="1"/>
    <xf numFmtId="0" fontId="1" fillId="2" borderId="0" xfId="0" applyNumberFormat="1" applyFont="1" applyFill="1" applyBorder="1" applyAlignment="1"/>
    <xf numFmtId="0" fontId="2" fillId="2" borderId="0" xfId="0" applyNumberFormat="1" applyFont="1" applyFill="1" applyBorder="1" applyAlignment="1"/>
    <xf numFmtId="0" fontId="7" fillId="0" borderId="0" xfId="0" applyNumberFormat="1" applyFont="1" applyFill="1" applyBorder="1" applyAlignment="1">
      <alignment horizontal="left" vertical="top" wrapText="1"/>
    </xf>
    <xf numFmtId="0" fontId="7" fillId="0" borderId="0" xfId="0" applyNumberFormat="1" applyFont="1" applyFill="1" applyBorder="1" applyAlignment="1">
      <alignment vertical="top"/>
    </xf>
    <xf numFmtId="0" fontId="8" fillId="0" borderId="0" xfId="0" applyNumberFormat="1" applyFont="1" applyFill="1" applyBorder="1" applyAlignment="1">
      <alignment horizontal="left" vertical="top" wrapText="1"/>
    </xf>
    <xf numFmtId="0" fontId="7" fillId="0" borderId="0" xfId="0" applyNumberFormat="1" applyFont="1" applyFill="1" applyBorder="1" applyAlignment="1">
      <alignment vertical="top" wrapText="1"/>
    </xf>
    <xf numFmtId="0" fontId="9" fillId="3" borderId="0" xfId="0" applyNumberFormat="1" applyFont="1" applyFill="1" applyBorder="1" applyAlignment="1">
      <alignment horizontal="left" vertical="top" wrapText="1"/>
    </xf>
    <xf numFmtId="164" fontId="9" fillId="3" borderId="0" xfId="0" applyNumberFormat="1" applyFont="1" applyFill="1" applyBorder="1" applyAlignment="1">
      <alignment horizontal="right" vertical="top"/>
    </xf>
    <xf numFmtId="0" fontId="9" fillId="0" borderId="0" xfId="0" applyNumberFormat="1" applyFont="1" applyFill="1" applyBorder="1" applyAlignment="1">
      <alignment horizontal="left" vertical="top"/>
    </xf>
    <xf numFmtId="0" fontId="7" fillId="0" borderId="0" xfId="0" applyNumberFormat="1" applyFont="1" applyFill="1" applyBorder="1" applyAlignment="1"/>
    <xf numFmtId="164" fontId="9" fillId="0" borderId="0" xfId="0" applyNumberFormat="1" applyFont="1" applyFill="1" applyBorder="1" applyAlignment="1">
      <alignment horizontal="left" vertical="top"/>
    </xf>
    <xf numFmtId="0" fontId="9" fillId="3" borderId="0" xfId="0" applyNumberFormat="1" applyFont="1" applyFill="1" applyBorder="1" applyAlignment="1">
      <alignment vertical="top"/>
    </xf>
    <xf numFmtId="0" fontId="10" fillId="0" borderId="0" xfId="0" applyNumberFormat="1" applyFont="1" applyFill="1" applyBorder="1" applyAlignment="1">
      <alignment vertical="top"/>
    </xf>
    <xf numFmtId="0" fontId="9" fillId="3" borderId="0" xfId="0" applyNumberFormat="1" applyFont="1" applyFill="1" applyBorder="1" applyAlignment="1">
      <alignment vertical="top" wrapText="1"/>
    </xf>
    <xf numFmtId="0" fontId="11" fillId="0" borderId="0" xfId="0" applyNumberFormat="1" applyFont="1" applyFill="1" applyBorder="1" applyAlignment="1">
      <alignment vertical="top" wrapText="1"/>
    </xf>
    <xf numFmtId="0" fontId="11" fillId="0" borderId="0" xfId="0" applyNumberFormat="1" applyFont="1" applyFill="1" applyBorder="1" applyAlignment="1">
      <alignment horizontal="left" vertical="top" wrapText="1"/>
    </xf>
    <xf numFmtId="1" fontId="7" fillId="0" borderId="0" xfId="0" applyNumberFormat="1" applyFont="1" applyFill="1" applyBorder="1" applyAlignment="1">
      <alignment horizontal="right" vertical="top" wrapText="1"/>
    </xf>
    <xf numFmtId="0" fontId="9" fillId="0" borderId="0" xfId="0" applyNumberFormat="1" applyFont="1" applyFill="1" applyBorder="1" applyAlignment="1">
      <alignment vertical="top" wrapText="1"/>
    </xf>
    <xf numFmtId="164" fontId="9" fillId="3" borderId="0" xfId="0" applyNumberFormat="1" applyFont="1" applyFill="1" applyBorder="1" applyAlignment="1">
      <alignment horizontal="right" vertical="top" wrapText="1"/>
    </xf>
    <xf numFmtId="165" fontId="5" fillId="2" borderId="0" xfId="0" applyNumberFormat="1" applyFont="1" applyFill="1" applyBorder="1" applyAlignment="1"/>
    <xf numFmtId="0" fontId="1" fillId="2" borderId="0" xfId="0" applyNumberFormat="1" applyFont="1" applyFill="1" applyBorder="1" applyAlignment="1">
      <alignment horizontal="left" vertical="top" wrapText="1"/>
    </xf>
    <xf numFmtId="0" fontId="13" fillId="2" borderId="0" xfId="0" applyNumberFormat="1" applyFont="1" applyFill="1" applyBorder="1" applyAlignment="1"/>
    <xf numFmtId="3" fontId="13" fillId="2" borderId="0" xfId="0" applyNumberFormat="1" applyFont="1" applyFill="1" applyBorder="1" applyAlignment="1"/>
    <xf numFmtId="164" fontId="9" fillId="3" borderId="0" xfId="0" applyNumberFormat="1" applyFont="1" applyFill="1" applyBorder="1" applyAlignment="1">
      <alignment horizontal="left" vertical="top" wrapText="1"/>
    </xf>
    <xf numFmtId="0" fontId="14" fillId="3" borderId="0" xfId="0" applyNumberFormat="1" applyFont="1" applyFill="1" applyBorder="1" applyAlignment="1">
      <alignment horizontal="left" vertical="top" wrapText="1"/>
    </xf>
    <xf numFmtId="0" fontId="15" fillId="3" borderId="0" xfId="0" quotePrefix="1" applyNumberFormat="1" applyFont="1" applyFill="1" applyBorder="1" applyAlignment="1">
      <alignment horizontal="left" vertical="top" wrapText="1"/>
    </xf>
    <xf numFmtId="164" fontId="15" fillId="3" borderId="0" xfId="0" applyNumberFormat="1" applyFont="1" applyFill="1" applyBorder="1" applyAlignment="1">
      <alignment horizontal="right" vertical="top"/>
    </xf>
    <xf numFmtId="164" fontId="14" fillId="3" borderId="0" xfId="0" applyNumberFormat="1" applyFont="1" applyFill="1" applyBorder="1" applyAlignment="1">
      <alignment horizontal="left" vertical="top" wrapText="1"/>
    </xf>
    <xf numFmtId="0" fontId="7" fillId="2" borderId="0" xfId="0" applyNumberFormat="1" applyFont="1" applyFill="1" applyBorder="1" applyAlignment="1">
      <alignment vertical="top"/>
    </xf>
    <xf numFmtId="0" fontId="9" fillId="2" borderId="0" xfId="0" applyNumberFormat="1" applyFont="1" applyFill="1" applyBorder="1" applyAlignment="1">
      <alignment horizontal="left" vertical="top" wrapText="1"/>
    </xf>
    <xf numFmtId="164" fontId="7" fillId="2" borderId="0" xfId="0" applyNumberFormat="1" applyFont="1" applyFill="1" applyBorder="1" applyAlignment="1">
      <alignment horizontal="left" vertical="top" wrapText="1"/>
    </xf>
    <xf numFmtId="0" fontId="9" fillId="2" borderId="0" xfId="0" applyNumberFormat="1" applyFont="1" applyFill="1" applyBorder="1" applyAlignment="1">
      <alignment vertical="top" wrapText="1"/>
    </xf>
    <xf numFmtId="0" fontId="7" fillId="0" borderId="0" xfId="0" applyNumberFormat="1" applyFont="1" applyFill="1" applyBorder="1" applyAlignment="1">
      <alignment horizontal="left"/>
    </xf>
    <xf numFmtId="0" fontId="9" fillId="0" borderId="0" xfId="0" applyNumberFormat="1" applyFont="1" applyFill="1" applyBorder="1" applyAlignment="1">
      <alignment horizontal="left" vertical="top" wrapText="1"/>
    </xf>
    <xf numFmtId="0" fontId="7" fillId="0" borderId="0" xfId="0" applyNumberFormat="1" applyFont="1" applyFill="1" applyBorder="1" applyAlignment="1">
      <alignment vertical="top" wrapText="1"/>
    </xf>
    <xf numFmtId="0" fontId="7" fillId="0" borderId="0" xfId="0" applyNumberFormat="1" applyFont="1" applyFill="1" applyBorder="1" applyAlignment="1">
      <alignment horizontal="left" vertical="top" wrapText="1"/>
    </xf>
    <xf numFmtId="164" fontId="9" fillId="0" borderId="0" xfId="0" applyNumberFormat="1" applyFont="1" applyFill="1" applyBorder="1" applyAlignment="1">
      <alignment horizontal="right" vertical="top"/>
    </xf>
    <xf numFmtId="164" fontId="9" fillId="0" borderId="0" xfId="0" applyNumberFormat="1" applyFont="1" applyFill="1" applyBorder="1" applyAlignment="1">
      <alignment horizontal="right" vertical="top" wrapText="1"/>
    </xf>
    <xf numFmtId="0" fontId="1" fillId="2" borderId="0" xfId="0" applyNumberFormat="1" applyFont="1" applyFill="1" applyBorder="1" applyAlignment="1">
      <alignment horizontal="left" vertical="top" wrapText="1"/>
    </xf>
    <xf numFmtId="0" fontId="7" fillId="0" borderId="0" xfId="0" applyNumberFormat="1" applyFont="1" applyFill="1" applyBorder="1" applyAlignment="1">
      <alignment horizontal="left" vertical="top" wrapText="1"/>
    </xf>
    <xf numFmtId="0" fontId="7" fillId="0" borderId="0" xfId="0" applyNumberFormat="1" applyFont="1" applyFill="1" applyBorder="1" applyAlignment="1">
      <alignment horizontal="left" vertical="top" wrapText="1"/>
    </xf>
    <xf numFmtId="0" fontId="7" fillId="0" borderId="0" xfId="0" applyNumberFormat="1" applyFont="1" applyFill="1" applyBorder="1" applyAlignment="1">
      <alignment horizontal="left" wrapText="1"/>
    </xf>
    <xf numFmtId="0" fontId="7" fillId="0" borderId="0" xfId="0" applyNumberFormat="1" applyFont="1" applyFill="1" applyBorder="1" applyAlignment="1">
      <alignment horizontal="right" wrapText="1"/>
    </xf>
    <xf numFmtId="0" fontId="3" fillId="3" borderId="0" xfId="0" applyNumberFormat="1" applyFont="1" applyFill="1" applyBorder="1" applyAlignment="1"/>
    <xf numFmtId="3" fontId="3" fillId="3" borderId="0" xfId="0" applyNumberFormat="1" applyFont="1" applyFill="1" applyBorder="1" applyAlignment="1"/>
    <xf numFmtId="164" fontId="3" fillId="3" borderId="0" xfId="0" applyNumberFormat="1" applyFont="1" applyFill="1" applyBorder="1" applyAlignment="1"/>
    <xf numFmtId="0" fontId="16" fillId="3" borderId="0" xfId="0" applyNumberFormat="1" applyFont="1" applyFill="1" applyBorder="1" applyAlignment="1"/>
    <xf numFmtId="0" fontId="4" fillId="3" borderId="0" xfId="0" applyNumberFormat="1" applyFont="1" applyFill="1" applyBorder="1" applyAlignment="1"/>
    <xf numFmtId="164" fontId="4" fillId="3" borderId="0" xfId="0" applyNumberFormat="1" applyFont="1" applyFill="1" applyBorder="1" applyAlignment="1"/>
    <xf numFmtId="0" fontId="17" fillId="3" borderId="0" xfId="0" applyNumberFormat="1" applyFont="1" applyFill="1" applyBorder="1" applyAlignment="1"/>
    <xf numFmtId="165" fontId="13" fillId="2" borderId="0" xfId="0" applyNumberFormat="1" applyFont="1" applyFill="1" applyBorder="1" applyAlignment="1"/>
    <xf numFmtId="164" fontId="13" fillId="2" borderId="0" xfId="0" applyNumberFormat="1" applyFont="1" applyFill="1" applyBorder="1" applyAlignment="1"/>
    <xf numFmtId="0" fontId="18" fillId="2" borderId="0" xfId="0" applyNumberFormat="1" applyFont="1" applyFill="1" applyBorder="1" applyAlignment="1"/>
    <xf numFmtId="0" fontId="19" fillId="2" borderId="0" xfId="0" applyNumberFormat="1" applyFont="1" applyFill="1" applyBorder="1" applyAlignment="1"/>
    <xf numFmtId="3" fontId="19" fillId="2" borderId="0" xfId="0" applyNumberFormat="1" applyFont="1" applyFill="1" applyBorder="1" applyAlignment="1"/>
    <xf numFmtId="1" fontId="19" fillId="2" borderId="0" xfId="0" applyNumberFormat="1" applyFont="1" applyFill="1" applyBorder="1" applyAlignment="1"/>
    <xf numFmtId="2" fontId="9" fillId="3" borderId="0" xfId="0" applyNumberFormat="1" applyFont="1" applyFill="1" applyBorder="1" applyAlignment="1">
      <alignment horizontal="right" vertical="top"/>
    </xf>
    <xf numFmtId="2" fontId="7" fillId="0" borderId="0" xfId="0" applyNumberFormat="1" applyFont="1" applyFill="1" applyBorder="1" applyAlignment="1">
      <alignment vertical="top"/>
    </xf>
    <xf numFmtId="0" fontId="15" fillId="2" borderId="0" xfId="0" applyNumberFormat="1" applyFont="1" applyFill="1" applyBorder="1" applyAlignment="1">
      <alignment horizontal="left" vertical="top"/>
    </xf>
    <xf numFmtId="0" fontId="11" fillId="0" borderId="0" xfId="0" applyNumberFormat="1" applyFont="1" applyFill="1" applyBorder="1" applyAlignment="1">
      <alignment horizontal="left" vertical="top" wrapText="1"/>
    </xf>
    <xf numFmtId="2" fontId="9" fillId="0" borderId="0" xfId="0" applyNumberFormat="1" applyFont="1" applyFill="1" applyBorder="1" applyAlignment="1">
      <alignment horizontal="left" vertical="top" wrapText="1"/>
    </xf>
    <xf numFmtId="164" fontId="9" fillId="0" borderId="0" xfId="0" applyNumberFormat="1" applyFont="1" applyFill="1" applyBorder="1" applyAlignment="1">
      <alignment vertical="top" wrapText="1"/>
    </xf>
    <xf numFmtId="0" fontId="7" fillId="0" borderId="0" xfId="0" applyNumberFormat="1" applyFont="1" applyFill="1" applyBorder="1" applyAlignment="1">
      <alignment horizontal="left" vertical="top" wrapText="1"/>
    </xf>
    <xf numFmtId="0" fontId="9" fillId="0" borderId="0" xfId="0" applyNumberFormat="1" applyFont="1" applyFill="1" applyBorder="1" applyAlignment="1">
      <alignment horizontal="right" vertical="top"/>
    </xf>
    <xf numFmtId="0" fontId="8" fillId="0" borderId="0" xfId="0" applyNumberFormat="1" applyFont="1" applyFill="1" applyBorder="1" applyAlignment="1">
      <alignment vertical="top"/>
    </xf>
    <xf numFmtId="2" fontId="7" fillId="0" borderId="0" xfId="0" applyNumberFormat="1" applyFont="1" applyFill="1" applyBorder="1" applyAlignment="1">
      <alignment horizontal="left" vertical="top" wrapText="1"/>
    </xf>
    <xf numFmtId="0" fontId="0" fillId="2" borderId="0" xfId="0" applyNumberFormat="1" applyFont="1" applyFill="1" applyBorder="1" applyAlignment="1">
      <alignment horizontal="left" vertical="top" wrapText="1"/>
    </xf>
    <xf numFmtId="0" fontId="1" fillId="2" borderId="0" xfId="0" applyNumberFormat="1" applyFont="1" applyFill="1" applyBorder="1" applyAlignment="1">
      <alignment horizontal="left" vertical="top" wrapText="1"/>
    </xf>
    <xf numFmtId="0" fontId="7" fillId="0" borderId="0" xfId="0" applyNumberFormat="1" applyFont="1" applyFill="1" applyBorder="1" applyAlignment="1">
      <alignment horizontal="left" vertical="top" wrapText="1"/>
    </xf>
    <xf numFmtId="0" fontId="9" fillId="2" borderId="0" xfId="0" quotePrefix="1" applyNumberFormat="1" applyFont="1" applyFill="1" applyBorder="1" applyAlignment="1">
      <alignment horizontal="left" vertical="top" wrapText="1"/>
    </xf>
    <xf numFmtId="0" fontId="11" fillId="0" borderId="0" xfId="0" applyNumberFormat="1" applyFont="1" applyFill="1" applyBorder="1" applyAlignment="1">
      <alignment horizontal="left" vertical="top" wrapText="1"/>
    </xf>
  </cellXfs>
  <cellStyles count="1">
    <cellStyle name="Normaali"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0"/>
  <sheetViews>
    <sheetView topLeftCell="A46" zoomScaleNormal="100" workbookViewId="0">
      <selection activeCell="N30" sqref="N30"/>
    </sheetView>
  </sheetViews>
  <sheetFormatPr defaultRowHeight="12.75"/>
  <cols>
    <col min="1" max="1" width="94.85546875" style="1" customWidth="1"/>
    <col min="2" max="2" width="13.85546875" style="1" bestFit="1" customWidth="1"/>
    <col min="3" max="3" width="11.42578125" style="1" customWidth="1"/>
    <col min="4" max="4" width="11.140625" style="1" bestFit="1" customWidth="1"/>
    <col min="5" max="5" width="1.28515625" style="1" customWidth="1"/>
    <col min="6" max="6" width="2.5703125" style="1" customWidth="1"/>
    <col min="7" max="7" width="1.5703125" style="1" customWidth="1"/>
    <col min="8" max="8" width="0.42578125" style="1" customWidth="1"/>
    <col min="9" max="16384" width="9.140625" style="1"/>
  </cols>
  <sheetData>
    <row r="1" spans="1:8">
      <c r="A1" s="13" t="s">
        <v>84</v>
      </c>
    </row>
    <row r="2" spans="1:8">
      <c r="A2" s="1" t="s">
        <v>0</v>
      </c>
      <c r="B2" s="2" t="s">
        <v>1</v>
      </c>
      <c r="C2" s="2" t="s">
        <v>2</v>
      </c>
      <c r="D2" s="1">
        <v>2015</v>
      </c>
      <c r="G2" s="3"/>
    </row>
    <row r="3" spans="1:8">
      <c r="A3" s="1" t="s">
        <v>9</v>
      </c>
      <c r="B3" s="4">
        <v>67345</v>
      </c>
      <c r="C3" s="4">
        <v>67171</v>
      </c>
      <c r="D3" s="34">
        <f>((D15/100)+1)*C3</f>
        <v>65961.922000000006</v>
      </c>
      <c r="G3" s="3"/>
    </row>
    <row r="4" spans="1:8">
      <c r="A4" s="33" t="s">
        <v>54</v>
      </c>
      <c r="B4" s="34">
        <f>(B10/100)*B3</f>
        <v>48555.744999999995</v>
      </c>
      <c r="C4" s="34">
        <f>(C10/100)*C3</f>
        <v>47086.870999999999</v>
      </c>
      <c r="D4" s="34">
        <f>(D10/100)*D3</f>
        <v>46569.116932000004</v>
      </c>
      <c r="E4" s="5"/>
      <c r="G4" s="3"/>
    </row>
    <row r="5" spans="1:8">
      <c r="A5" s="1" t="s">
        <v>10</v>
      </c>
      <c r="B5" s="7">
        <f>144756000/1000000</f>
        <v>144.756</v>
      </c>
      <c r="C5" s="7">
        <f>152483000/1000000</f>
        <v>152.483</v>
      </c>
      <c r="D5" s="62"/>
    </row>
    <row r="6" spans="1:8">
      <c r="A6" s="1" t="s">
        <v>3</v>
      </c>
      <c r="B6" s="4">
        <v>102010</v>
      </c>
      <c r="C6" s="4">
        <v>101911</v>
      </c>
      <c r="D6" s="34">
        <f>0.98*C6</f>
        <v>99872.78</v>
      </c>
    </row>
    <row r="7" spans="1:8">
      <c r="A7" s="12" t="s">
        <v>53</v>
      </c>
      <c r="D7" s="33"/>
    </row>
    <row r="8" spans="1:8" ht="6" customHeight="1">
      <c r="D8" s="33"/>
    </row>
    <row r="9" spans="1:8">
      <c r="A9" s="64" t="s">
        <v>52</v>
      </c>
      <c r="D9" s="33"/>
    </row>
    <row r="10" spans="1:8">
      <c r="A10" s="33" t="s">
        <v>13</v>
      </c>
      <c r="B10" s="33">
        <v>72.099999999999994</v>
      </c>
      <c r="C10" s="63">
        <v>70.099999999999994</v>
      </c>
      <c r="D10" s="63">
        <v>70.599999999999994</v>
      </c>
    </row>
    <row r="11" spans="1:8">
      <c r="A11" s="33" t="s">
        <v>4</v>
      </c>
      <c r="B11" s="33">
        <v>29</v>
      </c>
      <c r="C11" s="33">
        <v>29</v>
      </c>
      <c r="D11" s="33">
        <v>29</v>
      </c>
    </row>
    <row r="12" spans="1:8" ht="12.75" customHeight="1">
      <c r="A12" s="33" t="s">
        <v>5</v>
      </c>
      <c r="B12" s="33">
        <v>25</v>
      </c>
      <c r="C12" s="33">
        <v>25</v>
      </c>
      <c r="D12" s="33">
        <v>25</v>
      </c>
      <c r="E12" s="78"/>
      <c r="F12" s="78"/>
      <c r="G12" s="78"/>
      <c r="H12" s="78"/>
    </row>
    <row r="13" spans="1:8">
      <c r="A13" s="33" t="s">
        <v>8</v>
      </c>
      <c r="B13" s="33">
        <v>5</v>
      </c>
      <c r="C13" s="33">
        <v>5</v>
      </c>
      <c r="D13" s="33">
        <v>5</v>
      </c>
      <c r="E13" s="78"/>
      <c r="F13" s="78"/>
      <c r="G13" s="78"/>
      <c r="H13" s="78"/>
    </row>
    <row r="14" spans="1:8">
      <c r="A14" s="33" t="s">
        <v>12</v>
      </c>
      <c r="B14" s="33">
        <v>3</v>
      </c>
      <c r="C14" s="33">
        <v>3</v>
      </c>
      <c r="D14" s="33">
        <v>3</v>
      </c>
      <c r="E14" s="78"/>
      <c r="F14" s="78"/>
      <c r="G14" s="78"/>
      <c r="H14" s="78"/>
    </row>
    <row r="15" spans="1:8">
      <c r="A15" s="33" t="s">
        <v>11</v>
      </c>
      <c r="B15" s="33"/>
      <c r="C15" s="33"/>
      <c r="D15" s="63">
        <v>-1.8</v>
      </c>
      <c r="E15" s="78"/>
      <c r="F15" s="78"/>
      <c r="G15" s="78"/>
      <c r="H15" s="78"/>
    </row>
    <row r="16" spans="1:8" ht="6.75" customHeight="1">
      <c r="A16" s="6"/>
      <c r="B16" s="6"/>
      <c r="C16" s="6"/>
      <c r="D16" s="8"/>
      <c r="E16" s="78"/>
      <c r="F16" s="78"/>
      <c r="G16" s="78"/>
      <c r="H16" s="78"/>
    </row>
    <row r="17" spans="1:7">
      <c r="A17" s="9" t="s">
        <v>30</v>
      </c>
      <c r="B17" s="6"/>
      <c r="C17" s="6"/>
      <c r="D17" s="8"/>
    </row>
    <row r="18" spans="1:7" ht="14.25">
      <c r="A18" s="10" t="s">
        <v>55</v>
      </c>
      <c r="B18" s="11">
        <f>0.64*B4</f>
        <v>31075.676799999997</v>
      </c>
      <c r="C18" s="11">
        <f t="shared" ref="C18:D18" si="0">0.64*C4</f>
        <v>30135.597440000001</v>
      </c>
      <c r="D18" s="11">
        <f t="shared" si="0"/>
        <v>29804.234836480002</v>
      </c>
      <c r="E18" s="12"/>
    </row>
    <row r="19" spans="1:7" ht="14.25">
      <c r="A19" s="10" t="s">
        <v>56</v>
      </c>
      <c r="B19" s="11">
        <f>0.6*(B4-B18)</f>
        <v>10488.040919999998</v>
      </c>
      <c r="C19" s="11">
        <f t="shared" ref="C19:D19" si="1">0.6*(C4-C18)</f>
        <v>10170.764135999998</v>
      </c>
      <c r="D19" s="11">
        <f t="shared" si="1"/>
        <v>10058.929257312002</v>
      </c>
      <c r="E19" s="12"/>
    </row>
    <row r="20" spans="1:7" ht="14.25">
      <c r="A20" s="10" t="s">
        <v>57</v>
      </c>
      <c r="B20" s="11">
        <f>(B4-B18)*0.4</f>
        <v>6992.0272799999993</v>
      </c>
      <c r="C20" s="11">
        <f t="shared" ref="C20:D20" si="2">(C4-C18)*0.4</f>
        <v>6780.5094239999999</v>
      </c>
      <c r="D20" s="11">
        <f t="shared" si="2"/>
        <v>6705.9528382080016</v>
      </c>
      <c r="E20" s="12"/>
    </row>
    <row r="21" spans="1:7" ht="14.25">
      <c r="A21" s="10" t="s">
        <v>97</v>
      </c>
      <c r="B21" s="31">
        <v>3.1</v>
      </c>
      <c r="C21" s="31">
        <v>3.1</v>
      </c>
      <c r="D21" s="31">
        <v>3.1</v>
      </c>
      <c r="E21" s="12"/>
    </row>
    <row r="22" spans="1:7" ht="17.25" customHeight="1">
      <c r="A22" s="59" t="s">
        <v>21</v>
      </c>
      <c r="B22" s="56"/>
      <c r="C22" s="55"/>
      <c r="D22" s="57"/>
      <c r="E22" s="55"/>
      <c r="F22" s="55"/>
      <c r="G22" s="55"/>
    </row>
    <row r="23" spans="1:7">
      <c r="A23" s="58" t="s">
        <v>14</v>
      </c>
      <c r="B23" s="55"/>
      <c r="C23" s="55"/>
      <c r="D23" s="55"/>
      <c r="E23" s="55"/>
      <c r="F23" s="55"/>
      <c r="G23" s="55"/>
    </row>
    <row r="24" spans="1:7">
      <c r="A24" s="55" t="s">
        <v>6</v>
      </c>
      <c r="B24" s="56">
        <f>(B13*12)*B4</f>
        <v>2913344.6999999997</v>
      </c>
      <c r="C24" s="56">
        <f t="shared" ref="C24:D24" si="3">(C13*12)*C4</f>
        <v>2825212.26</v>
      </c>
      <c r="D24" s="56">
        <f t="shared" si="3"/>
        <v>2794147.0159200002</v>
      </c>
      <c r="E24" s="55"/>
      <c r="F24" s="55"/>
      <c r="G24" s="55"/>
    </row>
    <row r="25" spans="1:7" s="13" customFormat="1">
      <c r="A25" s="59" t="s">
        <v>7</v>
      </c>
      <c r="B25" s="60">
        <f>(B11*B24)/1000000</f>
        <v>84.486996300000001</v>
      </c>
      <c r="C25" s="60">
        <f t="shared" ref="C25:D25" si="4">(C11*C24)/1000000</f>
        <v>81.931155539999992</v>
      </c>
      <c r="D25" s="60">
        <f t="shared" si="4"/>
        <v>81.030263461680008</v>
      </c>
      <c r="E25" s="59"/>
      <c r="F25" s="59"/>
      <c r="G25" s="59"/>
    </row>
    <row r="26" spans="1:7">
      <c r="A26" s="55"/>
      <c r="B26" s="57"/>
      <c r="C26" s="57"/>
      <c r="D26" s="57"/>
      <c r="E26" s="55"/>
      <c r="F26" s="55"/>
      <c r="G26" s="55"/>
    </row>
    <row r="27" spans="1:7">
      <c r="A27" s="61" t="s">
        <v>85</v>
      </c>
      <c r="B27" s="57"/>
      <c r="C27" s="57"/>
      <c r="D27" s="57"/>
      <c r="E27" s="55"/>
      <c r="F27" s="55"/>
      <c r="G27" s="55"/>
    </row>
    <row r="28" spans="1:7">
      <c r="A28" s="55" t="s">
        <v>17</v>
      </c>
      <c r="B28" s="56">
        <f>(B18)*(B13*12)</f>
        <v>1864540.6079999998</v>
      </c>
      <c r="C28" s="56">
        <f t="shared" ref="C28:D28" si="5">(C18)*(C13*12)</f>
        <v>1808135.8464000002</v>
      </c>
      <c r="D28" s="56">
        <f t="shared" si="5"/>
        <v>1788254.0901888001</v>
      </c>
      <c r="E28" s="55"/>
      <c r="F28" s="55"/>
      <c r="G28" s="55"/>
    </row>
    <row r="29" spans="1:7">
      <c r="A29" s="55" t="s">
        <v>7</v>
      </c>
      <c r="B29" s="57">
        <f>(B11*B28)/1000000</f>
        <v>54.071677631999989</v>
      </c>
      <c r="C29" s="57">
        <f t="shared" ref="C29:D29" si="6">(C11*C28)/1000000</f>
        <v>52.435939545600007</v>
      </c>
      <c r="D29" s="57">
        <f t="shared" si="6"/>
        <v>51.859368615475198</v>
      </c>
      <c r="E29" s="55"/>
      <c r="F29" s="55"/>
      <c r="G29" s="55"/>
    </row>
    <row r="30" spans="1:7">
      <c r="A30" s="55"/>
      <c r="B30" s="57"/>
      <c r="C30" s="57"/>
      <c r="D30" s="57"/>
      <c r="E30" s="55"/>
      <c r="F30" s="55"/>
      <c r="G30" s="55"/>
    </row>
    <row r="31" spans="1:7">
      <c r="A31" s="61" t="s">
        <v>83</v>
      </c>
      <c r="B31" s="57"/>
      <c r="C31" s="57"/>
      <c r="D31" s="57"/>
      <c r="E31" s="55"/>
      <c r="F31" s="55"/>
      <c r="G31" s="55"/>
    </row>
    <row r="32" spans="1:7">
      <c r="A32" s="55" t="s">
        <v>17</v>
      </c>
      <c r="B32" s="56">
        <f>(B19)*(B21*12)</f>
        <v>390155.12222399993</v>
      </c>
      <c r="C32" s="56">
        <f t="shared" ref="C32:D32" si="7">(C19)*(C21*12)</f>
        <v>378352.42585919995</v>
      </c>
      <c r="D32" s="56">
        <f t="shared" si="7"/>
        <v>374192.1683720065</v>
      </c>
      <c r="E32" s="55"/>
      <c r="F32" s="55"/>
      <c r="G32" s="55"/>
    </row>
    <row r="33" spans="1:7">
      <c r="A33" s="55" t="s">
        <v>7</v>
      </c>
      <c r="B33" s="57">
        <f>(B12*B32)/1000000</f>
        <v>9.7538780555999995</v>
      </c>
      <c r="C33" s="57">
        <f t="shared" ref="C33:D33" si="8">(C12*C32)/1000000</f>
        <v>9.4588106464799999</v>
      </c>
      <c r="D33" s="57">
        <f t="shared" si="8"/>
        <v>9.3548042093001627</v>
      </c>
      <c r="E33" s="55"/>
      <c r="F33" s="55"/>
      <c r="G33" s="55"/>
    </row>
    <row r="34" spans="1:7">
      <c r="A34" s="55"/>
      <c r="B34" s="57"/>
      <c r="C34" s="57"/>
      <c r="D34" s="57"/>
      <c r="E34" s="55"/>
      <c r="F34" s="55"/>
      <c r="G34" s="55"/>
    </row>
    <row r="35" spans="1:7">
      <c r="A35" s="61" t="s">
        <v>16</v>
      </c>
      <c r="B35" s="57"/>
      <c r="C35" s="57"/>
      <c r="D35" s="57"/>
      <c r="E35" s="55"/>
      <c r="F35" s="55"/>
      <c r="G35" s="55"/>
    </row>
    <row r="36" spans="1:7">
      <c r="A36" s="55" t="s">
        <v>18</v>
      </c>
      <c r="B36" s="56">
        <f>(B20)*(B14*12)</f>
        <v>251712.98207999999</v>
      </c>
      <c r="C36" s="56">
        <f t="shared" ref="C36:D36" si="9">(C20)*(C14*12)</f>
        <v>244098.33926400001</v>
      </c>
      <c r="D36" s="56">
        <f t="shared" si="9"/>
        <v>241414.30217548806</v>
      </c>
      <c r="E36" s="55"/>
      <c r="F36" s="55"/>
      <c r="G36" s="55"/>
    </row>
    <row r="37" spans="1:7">
      <c r="A37" s="55" t="s">
        <v>7</v>
      </c>
      <c r="B37" s="57">
        <f>(B12*B36)/1000000</f>
        <v>6.292824551999999</v>
      </c>
      <c r="C37" s="57">
        <f t="shared" ref="C37:D37" si="10">(C12*C36)/1000000</f>
        <v>6.1024584816000003</v>
      </c>
      <c r="D37" s="57">
        <f t="shared" si="10"/>
        <v>6.0353575543872013</v>
      </c>
      <c r="E37" s="55"/>
      <c r="F37" s="55"/>
      <c r="G37" s="55"/>
    </row>
    <row r="38" spans="1:7" ht="9" customHeight="1">
      <c r="A38" s="55"/>
      <c r="B38" s="57"/>
      <c r="C38" s="57"/>
      <c r="D38" s="57"/>
      <c r="E38" s="55"/>
      <c r="F38" s="55"/>
      <c r="G38" s="55"/>
    </row>
    <row r="39" spans="1:7">
      <c r="A39" s="58" t="s">
        <v>15</v>
      </c>
      <c r="B39" s="60">
        <f>B29+B33+B37</f>
        <v>70.118380239599986</v>
      </c>
      <c r="C39" s="60">
        <f t="shared" ref="C39:D39" si="11">C29+C33+C37</f>
        <v>67.997208673680007</v>
      </c>
      <c r="D39" s="60">
        <f t="shared" si="11"/>
        <v>67.249530379162564</v>
      </c>
      <c r="E39" s="55"/>
      <c r="F39" s="55"/>
      <c r="G39" s="55"/>
    </row>
    <row r="40" spans="1:7">
      <c r="A40" s="59" t="s">
        <v>48</v>
      </c>
      <c r="B40" s="60">
        <f>B39-B25</f>
        <v>-14.368616060400015</v>
      </c>
      <c r="C40" s="60">
        <f t="shared" ref="C40:D40" si="12">C39-C25</f>
        <v>-13.933946866319985</v>
      </c>
      <c r="D40" s="60">
        <f t="shared" si="12"/>
        <v>-13.780733082517443</v>
      </c>
      <c r="E40" s="55"/>
      <c r="F40" s="55"/>
      <c r="G40" s="55"/>
    </row>
    <row r="41" spans="1:7" ht="9" customHeight="1"/>
    <row r="42" spans="1:7" ht="27.75" customHeight="1">
      <c r="A42" s="79" t="s">
        <v>31</v>
      </c>
      <c r="B42" s="79"/>
      <c r="C42" s="79"/>
      <c r="D42" s="79"/>
      <c r="E42" s="79"/>
      <c r="F42" s="79"/>
      <c r="G42" s="79"/>
    </row>
    <row r="43" spans="1:7" ht="12.75" customHeight="1">
      <c r="A43" s="50" t="s">
        <v>58</v>
      </c>
      <c r="B43" s="50"/>
      <c r="C43" s="50"/>
      <c r="D43" s="50"/>
      <c r="E43" s="50"/>
      <c r="F43" s="50"/>
      <c r="G43" s="50"/>
    </row>
    <row r="44" spans="1:7" ht="12.75" customHeight="1">
      <c r="A44" s="50" t="s">
        <v>59</v>
      </c>
      <c r="B44" s="50"/>
      <c r="C44" s="50"/>
      <c r="D44" s="50"/>
      <c r="E44" s="50"/>
      <c r="F44" s="50"/>
      <c r="G44" s="50"/>
    </row>
    <row r="45" spans="1:7" ht="12.75" customHeight="1">
      <c r="A45" s="50" t="s">
        <v>60</v>
      </c>
      <c r="B45" s="50"/>
      <c r="C45" s="50"/>
      <c r="D45" s="50"/>
      <c r="E45" s="50"/>
      <c r="F45" s="50"/>
      <c r="G45" s="50"/>
    </row>
    <row r="46" spans="1:7" ht="3" customHeight="1">
      <c r="A46" s="32"/>
      <c r="B46" s="32"/>
      <c r="C46" s="32"/>
      <c r="D46" s="32"/>
      <c r="E46" s="32"/>
      <c r="F46" s="32"/>
      <c r="G46" s="32"/>
    </row>
    <row r="47" spans="1:7">
      <c r="A47" s="65" t="s">
        <v>32</v>
      </c>
      <c r="B47" s="65"/>
      <c r="C47" s="65"/>
      <c r="D47" s="65"/>
    </row>
    <row r="48" spans="1:7">
      <c r="A48" s="65" t="s">
        <v>33</v>
      </c>
      <c r="B48" s="66">
        <f>(B13*12)*B6</f>
        <v>6120600</v>
      </c>
      <c r="C48" s="66">
        <f>(C13*12)*C6</f>
        <v>6114660</v>
      </c>
      <c r="D48" s="66">
        <f>(D13*12)*D6</f>
        <v>5992366.7999999998</v>
      </c>
    </row>
    <row r="49" spans="1:4">
      <c r="A49" s="65" t="s">
        <v>35</v>
      </c>
      <c r="B49" s="66">
        <f>B24-(B28+B32+B36)</f>
        <v>406935.98769599991</v>
      </c>
      <c r="C49" s="66">
        <f>C24-(C28+C32+C36)</f>
        <v>394625.64847679995</v>
      </c>
      <c r="D49" s="66">
        <f>D24-(D28+D32+D36)</f>
        <v>390286.45518370578</v>
      </c>
    </row>
    <row r="50" spans="1:4">
      <c r="A50" s="65" t="s">
        <v>34</v>
      </c>
      <c r="B50" s="67">
        <f>B49/B48*100</f>
        <v>6.6486290183315351</v>
      </c>
      <c r="C50" s="67">
        <f t="shared" ref="C50:D50" si="13">C49/C48*100</f>
        <v>6.4537627354063831</v>
      </c>
      <c r="D50" s="67">
        <f t="shared" si="13"/>
        <v>6.5130601682077573</v>
      </c>
    </row>
  </sheetData>
  <mergeCells count="2">
    <mergeCell ref="E12:H16"/>
    <mergeCell ref="A42:G42"/>
  </mergeCells>
  <printOptions gridLines="1"/>
  <pageMargins left="0.15748031496062992" right="0.15748031496062992" top="0.19685039370078741" bottom="0.19685039370078741" header="0.51181102362204722" footer="0.51181102362204722"/>
  <pageSetup paperSize="9" firstPageNumber="0" fitToWidth="0" fitToHeight="0" pageOrder="overThenDown" orientation="landscape" horizontalDpi="300" verticalDpi="300" r:id="rId1"/>
  <headerFooter alignWithMargins="0"/>
  <rowBreaks count="1" manualBreakCount="1">
    <brk id="4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7"/>
  <sheetViews>
    <sheetView tabSelected="1" workbookViewId="0">
      <pane ySplit="1" topLeftCell="A2" activePane="bottomLeft" state="frozen"/>
      <selection pane="bottomLeft" activeCell="C44" sqref="C44"/>
    </sheetView>
  </sheetViews>
  <sheetFormatPr defaultRowHeight="15"/>
  <cols>
    <col min="1" max="1" width="64.42578125" style="14" customWidth="1"/>
    <col min="2" max="2" width="12" style="14" customWidth="1"/>
    <col min="3" max="3" width="69.42578125" style="15" customWidth="1"/>
    <col min="4" max="16384" width="9.140625" style="15"/>
  </cols>
  <sheetData>
    <row r="1" spans="1:5" ht="34.5" customHeight="1">
      <c r="A1" s="16" t="s">
        <v>88</v>
      </c>
      <c r="B1" s="16" t="s">
        <v>24</v>
      </c>
      <c r="C1" s="76" t="s">
        <v>44</v>
      </c>
    </row>
    <row r="2" spans="1:5">
      <c r="A2" s="16" t="s">
        <v>43</v>
      </c>
      <c r="B2" s="16"/>
    </row>
    <row r="3" spans="1:5">
      <c r="A3" s="18" t="s">
        <v>21</v>
      </c>
      <c r="B3" s="18" t="s">
        <v>23</v>
      </c>
      <c r="C3" s="26"/>
    </row>
    <row r="4" spans="1:5" ht="46.5" customHeight="1">
      <c r="A4" s="18" t="s">
        <v>41</v>
      </c>
      <c r="B4" s="19">
        <f>(0.33*102000)*(0.33*63.3)/1000000</f>
        <v>0.70312374</v>
      </c>
      <c r="C4" s="80"/>
    </row>
    <row r="5" spans="1:5" ht="18.75" customHeight="1">
      <c r="B5" s="19"/>
      <c r="C5" s="80"/>
    </row>
    <row r="6" spans="1:5" ht="165">
      <c r="A6" s="18" t="s">
        <v>62</v>
      </c>
      <c r="B6" s="20" t="s">
        <v>23</v>
      </c>
      <c r="C6" s="46" t="s">
        <v>98</v>
      </c>
    </row>
    <row r="7" spans="1:5">
      <c r="A7" s="20" t="s">
        <v>86</v>
      </c>
      <c r="B7" s="75">
        <v>0.3</v>
      </c>
    </row>
    <row r="8" spans="1:5">
      <c r="A8" s="20"/>
      <c r="B8" s="75"/>
    </row>
    <row r="9" spans="1:5" ht="18" customHeight="1">
      <c r="A9" s="16" t="s">
        <v>40</v>
      </c>
      <c r="B9" s="16"/>
    </row>
    <row r="10" spans="1:5" ht="17.25" customHeight="1">
      <c r="A10" s="18" t="s">
        <v>21</v>
      </c>
      <c r="B10" s="18" t="s">
        <v>23</v>
      </c>
    </row>
    <row r="11" spans="1:5" ht="64.5" customHeight="1">
      <c r="A11" s="18" t="s">
        <v>78</v>
      </c>
      <c r="B11" s="19">
        <f>((((101911+17356+5390)*0.2)*0.33)*31.5)/1000000</f>
        <v>0.25916190300000003</v>
      </c>
      <c r="C11" s="52" t="s">
        <v>45</v>
      </c>
    </row>
    <row r="12" spans="1:5">
      <c r="A12" s="45"/>
      <c r="B12" s="48"/>
      <c r="C12" s="46"/>
    </row>
    <row r="13" spans="1:5">
      <c r="A13" s="16" t="s">
        <v>19</v>
      </c>
      <c r="B13" s="16"/>
      <c r="C13" s="29"/>
    </row>
    <row r="14" spans="1:5" ht="15.75" customHeight="1">
      <c r="A14" s="18" t="s">
        <v>21</v>
      </c>
      <c r="B14" s="18" t="s">
        <v>23</v>
      </c>
    </row>
    <row r="15" spans="1:5" ht="47.25" customHeight="1">
      <c r="A15" s="18" t="s">
        <v>78</v>
      </c>
      <c r="B15" s="19">
        <f>((((101911+17356+5390)*0.2)*0.33)*31.5)/1000000</f>
        <v>0.25916190300000003</v>
      </c>
      <c r="C15" s="80" t="s">
        <v>87</v>
      </c>
    </row>
    <row r="16" spans="1:5" ht="19.5" customHeight="1">
      <c r="B16" s="19"/>
      <c r="C16" s="80"/>
      <c r="E16" s="69"/>
    </row>
    <row r="17" spans="1:5" ht="18" customHeight="1">
      <c r="A17" s="18" t="s">
        <v>62</v>
      </c>
      <c r="B17" s="19" t="s">
        <v>23</v>
      </c>
      <c r="C17" s="74"/>
      <c r="E17" s="69"/>
    </row>
    <row r="18" spans="1:5" ht="24.75" customHeight="1">
      <c r="A18" s="72" t="s">
        <v>86</v>
      </c>
      <c r="B18" s="49">
        <v>0.1</v>
      </c>
      <c r="C18" s="77" t="s">
        <v>99</v>
      </c>
    </row>
    <row r="19" spans="1:5">
      <c r="A19" s="16" t="s">
        <v>82</v>
      </c>
      <c r="B19" s="16"/>
    </row>
    <row r="20" spans="1:5">
      <c r="A20" s="18" t="s">
        <v>21</v>
      </c>
      <c r="B20" s="18" t="s">
        <v>23</v>
      </c>
      <c r="C20" s="29"/>
    </row>
    <row r="21" spans="1:5" ht="30" customHeight="1">
      <c r="A21" s="36" t="s">
        <v>67</v>
      </c>
      <c r="B21" s="18"/>
      <c r="C21" s="80" t="s">
        <v>75</v>
      </c>
    </row>
    <row r="22" spans="1:5" ht="45">
      <c r="A22" s="25" t="s">
        <v>72</v>
      </c>
      <c r="B22" s="19">
        <f>((800*850*12)+(800*6*12*29))/1000000</f>
        <v>9.8303999999999991</v>
      </c>
      <c r="C22" s="80"/>
    </row>
    <row r="23" spans="1:5" ht="62.25" customHeight="1">
      <c r="A23" s="18" t="s">
        <v>68</v>
      </c>
      <c r="B23" s="19">
        <f>(29*(18+42)*12)*800/1000000</f>
        <v>16.704000000000001</v>
      </c>
      <c r="C23" s="80"/>
    </row>
    <row r="24" spans="1:5" s="21" customFormat="1" ht="15.75" customHeight="1">
      <c r="A24" s="23" t="s">
        <v>36</v>
      </c>
      <c r="B24" s="38">
        <f>B23-B22</f>
        <v>6.8736000000000015</v>
      </c>
      <c r="C24" s="80"/>
      <c r="D24" s="44"/>
    </row>
    <row r="25" spans="1:5" s="21" customFormat="1" ht="30.75" customHeight="1">
      <c r="A25" s="39" t="s">
        <v>69</v>
      </c>
      <c r="B25" s="19"/>
      <c r="C25" s="80"/>
    </row>
    <row r="26" spans="1:5" ht="17.25" customHeight="1">
      <c r="A26" s="23" t="s">
        <v>70</v>
      </c>
      <c r="B26" s="19">
        <f>(200*850*12)/1000000</f>
        <v>2.04</v>
      </c>
      <c r="C26" s="80"/>
    </row>
    <row r="27" spans="1:5" ht="46.5" customHeight="1">
      <c r="A27" s="35" t="s">
        <v>71</v>
      </c>
      <c r="B27" s="19">
        <f>(1861*200)/1000000</f>
        <v>0.37219999999999998</v>
      </c>
      <c r="C27" s="80"/>
    </row>
    <row r="28" spans="1:5">
      <c r="A28" s="35" t="s">
        <v>37</v>
      </c>
      <c r="B28" s="38">
        <f>B26-B27</f>
        <v>1.6678000000000002</v>
      </c>
      <c r="C28" s="80"/>
    </row>
    <row r="29" spans="1:5" ht="17.25" customHeight="1">
      <c r="A29" s="37" t="s">
        <v>39</v>
      </c>
      <c r="B29" s="38">
        <f>B24-B28</f>
        <v>5.2058000000000018</v>
      </c>
      <c r="C29" s="80"/>
    </row>
    <row r="30" spans="1:5" ht="30">
      <c r="A30" s="25" t="s">
        <v>46</v>
      </c>
      <c r="B30" s="19">
        <f>(1000*(0.25*12*23.1))/1000000</f>
        <v>6.9300000000000014E-2</v>
      </c>
      <c r="C30" s="80"/>
    </row>
    <row r="31" spans="1:5">
      <c r="A31" s="22"/>
      <c r="B31" s="22"/>
      <c r="C31" s="51"/>
    </row>
    <row r="32" spans="1:5">
      <c r="A32" s="16" t="s">
        <v>91</v>
      </c>
      <c r="B32" s="16"/>
    </row>
    <row r="33" spans="1:3">
      <c r="A33" s="18" t="s">
        <v>21</v>
      </c>
      <c r="B33" s="18" t="s">
        <v>23</v>
      </c>
      <c r="C33" s="17"/>
    </row>
    <row r="34" spans="1:3" ht="30" customHeight="1">
      <c r="A34" s="25" t="s">
        <v>22</v>
      </c>
      <c r="B34" s="19">
        <f>((40*20*52)*0.05*1000)/1000000</f>
        <v>2.08</v>
      </c>
      <c r="C34" s="17"/>
    </row>
    <row r="35" spans="1:3" ht="45.75" customHeight="1">
      <c r="A35" s="25" t="s">
        <v>47</v>
      </c>
      <c r="B35" s="19">
        <f>(1000*(0.5*12*23.1))/1000000</f>
        <v>0.13860000000000003</v>
      </c>
      <c r="C35" s="26"/>
    </row>
    <row r="36" spans="1:3" ht="15" customHeight="1">
      <c r="A36" s="43"/>
      <c r="B36" s="22"/>
      <c r="C36" s="26"/>
    </row>
    <row r="37" spans="1:3">
      <c r="A37" s="16" t="s">
        <v>92</v>
      </c>
      <c r="B37" s="16"/>
    </row>
    <row r="38" spans="1:3">
      <c r="A38" s="18" t="s">
        <v>21</v>
      </c>
      <c r="B38" s="18" t="s">
        <v>23</v>
      </c>
      <c r="C38" s="17"/>
    </row>
    <row r="39" spans="1:3" ht="31.5" customHeight="1">
      <c r="A39" s="25" t="s">
        <v>65</v>
      </c>
      <c r="B39" s="19">
        <f>((12*29*12)*0.05*2000)/1000000</f>
        <v>0.41760000000000003</v>
      </c>
      <c r="C39" s="82" t="s">
        <v>77</v>
      </c>
    </row>
    <row r="40" spans="1:3" ht="66.75" customHeight="1">
      <c r="A40" s="25" t="s">
        <v>66</v>
      </c>
      <c r="B40" s="19">
        <f>(2000*(0.5*12*23.1))/1000000</f>
        <v>0.27720000000000006</v>
      </c>
      <c r="C40" s="82"/>
    </row>
    <row r="41" spans="1:3" ht="14.25" customHeight="1">
      <c r="A41" s="29"/>
      <c r="B41" s="22"/>
      <c r="C41" s="26"/>
    </row>
    <row r="42" spans="1:3" ht="30">
      <c r="A42" s="16" t="s">
        <v>79</v>
      </c>
      <c r="B42" s="16"/>
    </row>
    <row r="43" spans="1:3" ht="15.75" customHeight="1">
      <c r="A43" s="18" t="s">
        <v>21</v>
      </c>
      <c r="B43" s="18" t="s">
        <v>23</v>
      </c>
      <c r="C43" s="24"/>
    </row>
    <row r="44" spans="1:3" ht="105">
      <c r="A44" s="25" t="s">
        <v>95</v>
      </c>
      <c r="B44" s="19">
        <v>8.8000000000000007</v>
      </c>
      <c r="C44" s="17"/>
    </row>
    <row r="46" spans="1:3">
      <c r="A46" s="16" t="s">
        <v>80</v>
      </c>
      <c r="B46" s="16"/>
    </row>
    <row r="47" spans="1:3" ht="13.5" customHeight="1">
      <c r="A47" s="18"/>
      <c r="B47" s="30"/>
      <c r="C47" s="71" t="s">
        <v>96</v>
      </c>
    </row>
    <row r="48" spans="1:3">
      <c r="A48" s="45"/>
      <c r="B48" s="45" t="s">
        <v>23</v>
      </c>
    </row>
    <row r="49" spans="1:3" ht="20.25" customHeight="1">
      <c r="A49" s="45" t="s">
        <v>86</v>
      </c>
      <c r="B49" s="73">
        <v>2</v>
      </c>
    </row>
    <row r="50" spans="1:3" ht="12" customHeight="1">
      <c r="A50" s="45"/>
      <c r="B50" s="73"/>
    </row>
    <row r="51" spans="1:3" ht="15.75" customHeight="1">
      <c r="A51" s="16" t="s">
        <v>20</v>
      </c>
      <c r="B51" s="16"/>
      <c r="C51" s="47"/>
    </row>
    <row r="52" spans="1:3">
      <c r="A52" s="18" t="s">
        <v>21</v>
      </c>
      <c r="B52" s="18" t="s">
        <v>23</v>
      </c>
    </row>
    <row r="53" spans="1:3" ht="30" customHeight="1">
      <c r="A53" s="25" t="s">
        <v>29</v>
      </c>
      <c r="B53" s="19">
        <f>(2000*(3.2*29*12))/1000000</f>
        <v>2.2272000000000003</v>
      </c>
      <c r="C53" s="82" t="s">
        <v>64</v>
      </c>
    </row>
    <row r="54" spans="1:3" ht="36" customHeight="1">
      <c r="A54" s="25" t="s">
        <v>38</v>
      </c>
      <c r="B54" s="30">
        <f>2.5*2000*25.8/1000000</f>
        <v>0.129</v>
      </c>
      <c r="C54" s="82"/>
    </row>
    <row r="55" spans="1:3" ht="23.25" customHeight="1">
      <c r="A55" s="18" t="s">
        <v>36</v>
      </c>
      <c r="B55" s="30">
        <f>B53-B54</f>
        <v>2.0982000000000003</v>
      </c>
      <c r="C55" s="82"/>
    </row>
    <row r="56" spans="1:3" s="40" customFormat="1" ht="12" customHeight="1">
      <c r="A56" s="41"/>
      <c r="B56" s="42"/>
    </row>
    <row r="57" spans="1:3">
      <c r="A57" s="16" t="s">
        <v>81</v>
      </c>
      <c r="B57" s="16"/>
    </row>
    <row r="58" spans="1:3">
      <c r="A58" s="18" t="s">
        <v>21</v>
      </c>
      <c r="B58" s="18" t="s">
        <v>23</v>
      </c>
    </row>
    <row r="59" spans="1:3" ht="79.5" customHeight="1">
      <c r="A59" s="25" t="s">
        <v>76</v>
      </c>
      <c r="B59" s="19">
        <f>((20000*3*20)-(20000*20))/1000000</f>
        <v>0.8</v>
      </c>
    </row>
    <row r="60" spans="1:3">
      <c r="A60" s="47"/>
      <c r="B60" s="47"/>
    </row>
    <row r="61" spans="1:3" ht="15" customHeight="1">
      <c r="A61" s="16" t="s">
        <v>89</v>
      </c>
      <c r="B61" s="16"/>
    </row>
    <row r="62" spans="1:3" ht="15.75" customHeight="1">
      <c r="A62" s="18" t="s">
        <v>21</v>
      </c>
      <c r="B62" s="18" t="s">
        <v>23</v>
      </c>
    </row>
    <row r="63" spans="1:3" ht="70.5" customHeight="1">
      <c r="A63" s="25" t="s">
        <v>94</v>
      </c>
      <c r="B63" s="30">
        <f>50*5*160*10*12/1000000</f>
        <v>4.8</v>
      </c>
      <c r="C63" s="17" t="s">
        <v>90</v>
      </c>
    </row>
    <row r="64" spans="1:3" ht="47.25" customHeight="1">
      <c r="A64" s="25" t="s">
        <v>49</v>
      </c>
      <c r="B64" s="68">
        <f>((50*5)*(0.5*12*23.1))/1000000</f>
        <v>3.4650000000000007E-2</v>
      </c>
      <c r="C64" s="27" t="s">
        <v>63</v>
      </c>
    </row>
    <row r="65" spans="1:3" ht="21.75" customHeight="1">
      <c r="A65" s="18" t="s">
        <v>42</v>
      </c>
      <c r="B65" s="30">
        <v>0</v>
      </c>
    </row>
    <row r="66" spans="1:3" ht="15.75" customHeight="1">
      <c r="A66" s="45"/>
      <c r="B66" s="49"/>
    </row>
    <row r="67" spans="1:3">
      <c r="A67" s="16" t="s">
        <v>26</v>
      </c>
      <c r="B67" s="27"/>
    </row>
    <row r="68" spans="1:3" ht="13.5" customHeight="1">
      <c r="A68" s="14" t="s">
        <v>27</v>
      </c>
      <c r="B68" s="28">
        <v>14</v>
      </c>
    </row>
    <row r="69" spans="1:3" ht="14.25" customHeight="1">
      <c r="A69" s="14" t="s">
        <v>28</v>
      </c>
      <c r="B69" s="28">
        <f>B4+B5+B7+B11+B15+B18+B16+B29+B30+B34+B35+B39+B40+B44+B49+B55+B59+B63+B64</f>
        <v>28.342797546000007</v>
      </c>
    </row>
    <row r="70" spans="1:3">
      <c r="A70" s="14" t="s">
        <v>25</v>
      </c>
      <c r="B70" s="28">
        <f>SUM(B68:B69)</f>
        <v>42.342797546000007</v>
      </c>
    </row>
    <row r="71" spans="1:3" s="21" customFormat="1" ht="25.5" customHeight="1">
      <c r="A71" s="53" t="s">
        <v>51</v>
      </c>
      <c r="B71" s="54">
        <v>32</v>
      </c>
    </row>
    <row r="72" spans="1:3">
      <c r="A72" s="14" t="s">
        <v>50</v>
      </c>
      <c r="B72" s="28">
        <f>SUM(B70:B71)</f>
        <v>74.342797546000014</v>
      </c>
    </row>
    <row r="73" spans="1:3">
      <c r="B73" s="15"/>
      <c r="C73" s="14"/>
    </row>
    <row r="74" spans="1:3">
      <c r="A74" s="70" t="s">
        <v>74</v>
      </c>
    </row>
    <row r="75" spans="1:3" ht="15" customHeight="1">
      <c r="A75" s="81" t="s">
        <v>61</v>
      </c>
      <c r="B75" s="81"/>
      <c r="C75" s="81"/>
    </row>
    <row r="76" spans="1:3" ht="15.75" customHeight="1">
      <c r="A76" s="81" t="s">
        <v>93</v>
      </c>
      <c r="B76" s="81"/>
      <c r="C76" s="81"/>
    </row>
    <row r="77" spans="1:3" ht="32.25" customHeight="1">
      <c r="A77" s="81" t="s">
        <v>73</v>
      </c>
      <c r="B77" s="81"/>
      <c r="C77" s="81"/>
    </row>
  </sheetData>
  <mergeCells count="8">
    <mergeCell ref="C4:C5"/>
    <mergeCell ref="A75:C75"/>
    <mergeCell ref="A76:C76"/>
    <mergeCell ref="A77:C77"/>
    <mergeCell ref="C39:C40"/>
    <mergeCell ref="C53:C55"/>
    <mergeCell ref="C21:C30"/>
    <mergeCell ref="C15:C16"/>
  </mergeCells>
  <printOptions gridLines="1"/>
  <pageMargins left="0.11811023622047245" right="7.874015748031496E-2" top="0.35433070866141736" bottom="0.35433070866141736" header="0.31496062992125984" footer="0.31496062992125984"/>
  <pageSetup paperSize="9" orientation="landscape" r:id="rId1"/>
  <rowBreaks count="4" manualBreakCount="4">
    <brk id="12" max="16383" man="1"/>
    <brk id="18" max="16383" man="1"/>
    <brk id="36" max="16383" man="1"/>
    <brk id="4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2</vt:i4>
      </vt:variant>
      <vt:variant>
        <vt:lpstr>Nimetyt alueet</vt:lpstr>
      </vt:variant>
      <vt:variant>
        <vt:i4>1</vt:i4>
      </vt:variant>
    </vt:vector>
  </HeadingPairs>
  <TitlesOfParts>
    <vt:vector size="3" baseType="lpstr">
      <vt:lpstr>Kuljetuspalvelujen rajaus</vt:lpstr>
      <vt:lpstr>Muut</vt:lpstr>
      <vt:lpstr>Muut!Tulostusotsikot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Huhta Jaana STM</dc:creator>
  <cp:lastModifiedBy>Pesola Anne-Sofie STM</cp:lastModifiedBy>
  <cp:lastPrinted>2016-10-10T09:02:35Z</cp:lastPrinted>
  <dcterms:created xsi:type="dcterms:W3CDTF">2015-09-02T08:08:06Z</dcterms:created>
  <dcterms:modified xsi:type="dcterms:W3CDTF">2016-10-14T06:27:34Z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62430374</vt:i4>
  </property>
  <property fmtid="{D5CDD505-2E9C-101B-9397-08002B2CF9AE}" pid="3" name="_NewReviewCycle">
    <vt:lpwstr/>
  </property>
  <property fmtid="{D5CDD505-2E9C-101B-9397-08002B2CF9AE}" pid="4" name="_EmailSubject">
    <vt:lpwstr>raportti oikoluettuna ja liitetaulukko</vt:lpwstr>
  </property>
  <property fmtid="{D5CDD505-2E9C-101B-9397-08002B2CF9AE}" pid="5" name="_AuthorEmail">
    <vt:lpwstr>jaana.huhta@stm.fi</vt:lpwstr>
  </property>
  <property fmtid="{D5CDD505-2E9C-101B-9397-08002B2CF9AE}" pid="6" name="_AuthorEmailDisplayName">
    <vt:lpwstr>Huhta Jaana (STM)</vt:lpwstr>
  </property>
  <property fmtid="{D5CDD505-2E9C-101B-9397-08002B2CF9AE}" pid="7" name="_PreviousAdHocReviewCycleID">
    <vt:i4>-711658343</vt:i4>
  </property>
  <property fmtid="{D5CDD505-2E9C-101B-9397-08002B2CF9AE}" pid="8" name="_ReviewingToolsShownOnce">
    <vt:lpwstr/>
  </property>
</Properties>
</file>